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filterPrivacy="1" defaultThemeVersion="166925"/>
  <xr:revisionPtr revIDLastSave="0" documentId="13_ncr:1_{AB317551-A56F-489D-8EED-3076837786D4}" xr6:coauthVersionLast="44" xr6:coauthVersionMax="44" xr10:uidLastSave="{00000000-0000-0000-0000-000000000000}"/>
  <bookViews>
    <workbookView xWindow="2040" yWindow="600" windowWidth="23970" windowHeight="14535" xr2:uid="{40F1327A-E5AF-4211-8E74-29B8110104F5}"/>
  </bookViews>
  <sheets>
    <sheet name="Instructions" sheetId="6" r:id="rId1"/>
    <sheet name="Subsidy Calculator"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3" i="4" l="1"/>
  <c r="E7" i="4" l="1"/>
  <c r="B3" i="4" l="1"/>
  <c r="C2" i="4"/>
  <c r="E25" i="4" l="1"/>
  <c r="E32" i="4" l="1"/>
  <c r="E31" i="4"/>
  <c r="Q5" i="4"/>
  <c r="P5" i="4"/>
  <c r="O5" i="4"/>
  <c r="N5" i="4"/>
  <c r="M5" i="4"/>
  <c r="L5" i="4"/>
  <c r="K5" i="4"/>
  <c r="J5" i="4"/>
  <c r="I5" i="4"/>
  <c r="L10" i="4" l="1"/>
  <c r="L26" i="4"/>
  <c r="L25" i="4"/>
  <c r="L27" i="4"/>
  <c r="M10" i="4"/>
  <c r="M27" i="4"/>
  <c r="M25" i="4"/>
  <c r="M26" i="4"/>
  <c r="N10" i="4"/>
  <c r="N27" i="4"/>
  <c r="N26" i="4"/>
  <c r="N25" i="4"/>
  <c r="O27" i="4"/>
  <c r="O26" i="4"/>
  <c r="O25" i="4"/>
  <c r="O10" i="4"/>
  <c r="P27" i="4"/>
  <c r="P26" i="4"/>
  <c r="P25" i="4"/>
  <c r="P10" i="4"/>
  <c r="K10" i="4"/>
  <c r="K27" i="4"/>
  <c r="K26" i="4"/>
  <c r="K25" i="4"/>
  <c r="I26" i="4"/>
  <c r="I25" i="4"/>
  <c r="I7" i="4"/>
  <c r="I10" i="4"/>
  <c r="I27" i="4"/>
  <c r="Q26" i="4"/>
  <c r="Q25" i="4"/>
  <c r="Q27" i="4"/>
  <c r="Q10" i="4"/>
  <c r="J25" i="4"/>
  <c r="J10" i="4"/>
  <c r="J27" i="4"/>
  <c r="J26" i="4"/>
  <c r="M6" i="4"/>
  <c r="M13" i="4" s="1"/>
  <c r="I32" i="4" l="1"/>
  <c r="M7" i="4"/>
  <c r="I29" i="4"/>
  <c r="I28" i="4"/>
  <c r="I31" i="4"/>
  <c r="Q6" i="4"/>
  <c r="K6" i="4"/>
  <c r="L6" i="4"/>
  <c r="J6" i="4"/>
  <c r="N6" i="4"/>
  <c r="O6" i="4"/>
  <c r="P6" i="4"/>
  <c r="E27" i="4"/>
  <c r="E26" i="4"/>
  <c r="I34" i="4" l="1"/>
  <c r="I11" i="4" s="1"/>
  <c r="M31" i="4"/>
  <c r="N13" i="4"/>
  <c r="N7" i="4"/>
  <c r="N32" i="4" s="1"/>
  <c r="O13" i="4"/>
  <c r="O7" i="4"/>
  <c r="J13" i="4"/>
  <c r="J7" i="4"/>
  <c r="L13" i="4"/>
  <c r="L7" i="4"/>
  <c r="K13" i="4"/>
  <c r="K7" i="4"/>
  <c r="Q13" i="4"/>
  <c r="Q7" i="4"/>
  <c r="Q31" i="4" s="1"/>
  <c r="P13" i="4"/>
  <c r="P7" i="4"/>
  <c r="M28" i="4"/>
  <c r="M32" i="4"/>
  <c r="M29" i="4"/>
  <c r="E28" i="4"/>
  <c r="E13" i="4"/>
  <c r="E10" i="4"/>
  <c r="I39" i="4" l="1"/>
  <c r="I37" i="4"/>
  <c r="I38" i="4" s="1"/>
  <c r="J31" i="4"/>
  <c r="P32" i="4"/>
  <c r="P28" i="4"/>
  <c r="P29" i="4"/>
  <c r="K31" i="4"/>
  <c r="K29" i="4"/>
  <c r="K28" i="4"/>
  <c r="O32" i="4"/>
  <c r="O28" i="4"/>
  <c r="O29" i="4"/>
  <c r="O31" i="4"/>
  <c r="P31" i="4"/>
  <c r="K32" i="4"/>
  <c r="L29" i="4"/>
  <c r="L28" i="4"/>
  <c r="L32" i="4"/>
  <c r="L31" i="4"/>
  <c r="N29" i="4"/>
  <c r="N28" i="4"/>
  <c r="Q29" i="4"/>
  <c r="Q28" i="4"/>
  <c r="N31" i="4"/>
  <c r="M34" i="4"/>
  <c r="M39" i="4" s="1"/>
  <c r="Q32" i="4"/>
  <c r="J32" i="4"/>
  <c r="J28" i="4"/>
  <c r="J29" i="4"/>
  <c r="E29" i="4"/>
  <c r="I40" i="4" l="1"/>
  <c r="I12" i="4" s="1"/>
  <c r="I14" i="4" s="1"/>
  <c r="I16" i="4" s="1"/>
  <c r="I20" i="4" s="1"/>
  <c r="Q34" i="4"/>
  <c r="Q37" i="4" s="1"/>
  <c r="Q38" i="4" s="1"/>
  <c r="Q39" i="4"/>
  <c r="L34" i="4"/>
  <c r="L37" i="4" s="1"/>
  <c r="L38" i="4" s="1"/>
  <c r="K34" i="4"/>
  <c r="K37" i="4" s="1"/>
  <c r="K38" i="4" s="1"/>
  <c r="M37" i="4"/>
  <c r="M38" i="4" s="1"/>
  <c r="M11" i="4"/>
  <c r="N34" i="4"/>
  <c r="N39" i="4" s="1"/>
  <c r="J34" i="4"/>
  <c r="J39" i="4" s="1"/>
  <c r="P34" i="4"/>
  <c r="P39" i="4" s="1"/>
  <c r="O34" i="4"/>
  <c r="O39" i="4" s="1"/>
  <c r="E34" i="4"/>
  <c r="E39" i="4" s="1"/>
  <c r="I19" i="4" l="1"/>
  <c r="I17" i="4"/>
  <c r="Q11" i="4"/>
  <c r="K39" i="4"/>
  <c r="K40" i="4" s="1"/>
  <c r="K12" i="4" s="1"/>
  <c r="K14" i="4" s="1"/>
  <c r="L11" i="4"/>
  <c r="L39" i="4"/>
  <c r="L40" i="4" s="1"/>
  <c r="L12" i="4" s="1"/>
  <c r="L14" i="4" s="1"/>
  <c r="K11" i="4"/>
  <c r="Q40" i="4"/>
  <c r="Q12" i="4" s="1"/>
  <c r="Q14" i="4" s="1"/>
  <c r="M40" i="4"/>
  <c r="M12" i="4" s="1"/>
  <c r="M14" i="4" s="1"/>
  <c r="M16" i="4" s="1"/>
  <c r="P11" i="4"/>
  <c r="P37" i="4"/>
  <c r="P38" i="4" s="1"/>
  <c r="P40" i="4" s="1"/>
  <c r="J37" i="4"/>
  <c r="J38" i="4" s="1"/>
  <c r="J11" i="4"/>
  <c r="O37" i="4"/>
  <c r="O38" i="4" s="1"/>
  <c r="O40" i="4" s="1"/>
  <c r="O11" i="4"/>
  <c r="N37" i="4"/>
  <c r="N38" i="4" s="1"/>
  <c r="N11" i="4"/>
  <c r="E11" i="4"/>
  <c r="E37" i="4"/>
  <c r="E38" i="4" s="1"/>
  <c r="E40" i="4" s="1"/>
  <c r="Q16" i="4" l="1"/>
  <c r="Q17" i="4" s="1"/>
  <c r="K16" i="4"/>
  <c r="K19" i="4" s="1"/>
  <c r="L16" i="4"/>
  <c r="L19" i="4" s="1"/>
  <c r="M17" i="4"/>
  <c r="M19" i="4"/>
  <c r="N40" i="4"/>
  <c r="N12" i="4" s="1"/>
  <c r="N14" i="4" s="1"/>
  <c r="N16" i="4" s="1"/>
  <c r="J40" i="4"/>
  <c r="J12" i="4" s="1"/>
  <c r="J14" i="4" s="1"/>
  <c r="J16" i="4" s="1"/>
  <c r="J20" i="4" s="1"/>
  <c r="P12" i="4"/>
  <c r="P14" i="4" s="1"/>
  <c r="P16" i="4" s="1"/>
  <c r="P20" i="4" s="1"/>
  <c r="O12" i="4"/>
  <c r="O14" i="4" s="1"/>
  <c r="O16" i="4" s="1"/>
  <c r="O19" i="4" s="1"/>
  <c r="Q19" i="4"/>
  <c r="E12" i="4"/>
  <c r="E14" i="4" s="1"/>
  <c r="E16" i="4" s="1"/>
  <c r="E20" i="4" s="1"/>
  <c r="Q20" i="4"/>
  <c r="M20" i="4"/>
  <c r="K17" i="4" l="1"/>
  <c r="K20" i="4"/>
  <c r="L17" i="4"/>
  <c r="O17" i="4"/>
  <c r="N20" i="4"/>
  <c r="N19" i="4"/>
  <c r="N17" i="4"/>
  <c r="J19" i="4"/>
  <c r="J17" i="4"/>
  <c r="P19" i="4"/>
  <c r="P17" i="4"/>
  <c r="L20" i="4"/>
  <c r="O20" i="4"/>
  <c r="E19" i="4"/>
  <c r="E17" i="4"/>
</calcChain>
</file>

<file path=xl/sharedStrings.xml><?xml version="1.0" encoding="utf-8"?>
<sst xmlns="http://schemas.openxmlformats.org/spreadsheetml/2006/main" count="88" uniqueCount="88">
  <si>
    <t>MWWS</t>
  </si>
  <si>
    <t>ERPP</t>
  </si>
  <si>
    <t>Maximum Weekly Wage Subsidy allowable</t>
  </si>
  <si>
    <t>MWEPBT</t>
  </si>
  <si>
    <t>A</t>
  </si>
  <si>
    <t>B</t>
  </si>
  <si>
    <t>C</t>
  </si>
  <si>
    <t>D</t>
  </si>
  <si>
    <t>D - C</t>
  </si>
  <si>
    <t>E</t>
  </si>
  <si>
    <t>D + E</t>
  </si>
  <si>
    <t xml:space="preserve"> </t>
  </si>
  <si>
    <t>Excess of Gross pay over allowable pay - Tapering amount</t>
  </si>
  <si>
    <t>Standard MWEPBT</t>
  </si>
  <si>
    <t>Adjusted for reductions bringing income below €960</t>
  </si>
  <si>
    <t>i</t>
  </si>
  <si>
    <t>ii</t>
  </si>
  <si>
    <t>iii</t>
  </si>
  <si>
    <t>iv</t>
  </si>
  <si>
    <t>v</t>
  </si>
  <si>
    <t>vi</t>
  </si>
  <si>
    <t>vii</t>
  </si>
  <si>
    <t>viii</t>
  </si>
  <si>
    <t>ix</t>
  </si>
  <si>
    <t>Subsidy: Full/Tapered/None</t>
  </si>
  <si>
    <t>ARNWP</t>
  </si>
  <si>
    <t>ERAP</t>
  </si>
  <si>
    <t>Employer payment percentage - as % of ARNWP</t>
  </si>
  <si>
    <t>Illustration of Employee's subsidy and tapering</t>
  </si>
  <si>
    <t>Adjusted to allow Additional Pay top-up up to €350</t>
  </si>
  <si>
    <t>&lt;== Enter value here</t>
  </si>
  <si>
    <t>&lt;== Enter value here, or 0</t>
  </si>
  <si>
    <t>As entered</t>
  </si>
  <si>
    <t>+50%</t>
  </si>
  <si>
    <t>+75%</t>
  </si>
  <si>
    <t>+100%</t>
  </si>
  <si>
    <t xml:space="preserve"> +25%</t>
  </si>
  <si>
    <t>PRSI Class: J9/Employee's normal PRSI</t>
  </si>
  <si>
    <r>
      <t>Non-Taxable pay (</t>
    </r>
    <r>
      <rPr>
        <b/>
        <sz val="11"/>
        <color rgb="FFFF0000"/>
        <rFont val="Calibri"/>
        <family val="2"/>
        <scheme val="minor"/>
      </rPr>
      <t>Subsidy after any applicable tapering reduction</t>
    </r>
    <r>
      <rPr>
        <b/>
        <sz val="11"/>
        <color theme="1"/>
        <rFont val="Calibri"/>
        <family val="2"/>
        <scheme val="minor"/>
      </rPr>
      <t>)</t>
    </r>
  </si>
  <si>
    <t>Maximum Weekly Wage Subsidy for employee (MWWS) (see below)</t>
  </si>
  <si>
    <t>Determine the Maximum Weekly Wage Subsidy (MWWS) allowable</t>
  </si>
  <si>
    <t>Section A</t>
  </si>
  <si>
    <t>Section B</t>
  </si>
  <si>
    <t>Section C</t>
  </si>
  <si>
    <t>This Sample Subsidy Calculator demonstrates how an employee's subsidy can be calculated during the Operational Phase of the Temporary Wage Subsidy Scheme.</t>
  </si>
  <si>
    <t>To use this calculator to establish an employee's wage subsidy:</t>
  </si>
  <si>
    <t>Determine if the Employer is eligible to operate the scheme.  See FAQ 2.4</t>
  </si>
  <si>
    <t>Determine if the Employee is eligible for the subsidy.  See FAQ 3.1</t>
  </si>
  <si>
    <t>Enter the value 0 in the Yellow ERAP cell in Section A</t>
  </si>
  <si>
    <t>taking into account any reduction/tapering of the subsidy.</t>
  </si>
  <si>
    <t>The subsidy is shown in the cell labelled E</t>
  </si>
  <si>
    <t>The revised subsidy is shown in the cell labelled E</t>
  </si>
  <si>
    <t>payment would have on the employee's subsidy.  This section is for information only.</t>
  </si>
  <si>
    <r>
      <rPr>
        <b/>
        <sz val="11"/>
        <color theme="1"/>
        <rFont val="Calibri"/>
        <family val="2"/>
        <scheme val="minor"/>
      </rPr>
      <t>Optional</t>
    </r>
    <r>
      <rPr>
        <sz val="11"/>
        <color theme="1"/>
        <rFont val="Calibri"/>
        <family val="2"/>
        <scheme val="minor"/>
      </rPr>
      <t>.  Review section C of the calculator.  This shows the effect that any reducing or increasing of the additional</t>
    </r>
  </si>
  <si>
    <t>Yellow calls indicated that the subsidy has been reduced/tapered due to the ERAP exceeding the MWEPBT.</t>
  </si>
  <si>
    <t>Based on the ARNWP &amp; ERAP entered, the calculator will show the revised subsidy the employee is eligible for</t>
  </si>
  <si>
    <t xml:space="preserve">Based on those two figures, the spreadsheet will calculate the subsidy that the employee can receive. </t>
  </si>
  <si>
    <t>Enter the calculated ARNWP in the yellow ARNWP cell in Section A of the Subsidy Calculator sheet</t>
  </si>
  <si>
    <t>Maximum Weekly Employer Payment Before Tapering (MWEPBT) to receive full subsidy (see below)</t>
  </si>
  <si>
    <t>Blue cells indicate that the subsidy has been eliminated as the ERAP exceeds the ARNWP or other thresholds.</t>
  </si>
  <si>
    <t>Examine the calculated "Maximum Weekly Employer Payment Before Tapering (MWEPBT) to receive full subsidy" figure</t>
  </si>
  <si>
    <t>If you give the employee an amount greater than the MWEPBT then the subsidy will be reduced by that excess.</t>
  </si>
  <si>
    <t>The MWEPBT is shown in the cell labelled C. (For your information, the details on how the MWEPBT is calculated are shown in Section B.)</t>
  </si>
  <si>
    <t>Green cells indicate that the subsidy has not been reduced for the ARNWP &amp; ERAP entered</t>
  </si>
  <si>
    <t>If ARNWP  &lt;= €412 pw, Subsidy = 85% of ARNWP, capped at 350</t>
  </si>
  <si>
    <t>If ARNWP  &gt; €412 and &lt;= €500 pw, Subsidy = €350</t>
  </si>
  <si>
    <t>If ARNWP  &gt; €500 and &lt;= €586 pw, Subsidy = 70% of ARNWP, capped at €410</t>
  </si>
  <si>
    <t>Employee's Average Revenue Net Weekly Pay (ARNWP)</t>
  </si>
  <si>
    <t>Employee's Average Revenue Net Weekly Pay</t>
  </si>
  <si>
    <t>Using the method as described in FAQ 4.3, calculate the employee's Average Revenue Net Weekly Pay (ARNWP)</t>
  </si>
  <si>
    <t>For ARNWP values greater that €586 there are two possible values for the ARNWP, one where the ERPP is less than or equal to 60%,</t>
  </si>
  <si>
    <t>and another when the ERPP is between 60% and 80%.  See step 8 for examples.</t>
  </si>
  <si>
    <t>This sample calculator is provided as a guide only and is not to be used or taken as professional advice, including legal advice. It should not be assumed that the calculator is comprehensive or that it provides a definitive answer in every case. In the event of any discrepancy in calculated figures the official calculation as provided for in the operational phase is the authoritative one. This calculator assumes the employee has only one employment.</t>
  </si>
  <si>
    <t>IF ARNWP &gt; €586 and &lt;= 960, and ERPP &lt;= 60%, Subsidy = €350 (This is tier 1)</t>
  </si>
  <si>
    <t>IF ARNWP &gt; €586 and &lt;= 960, and ERPP &gt; 60% and &lt;= 80%, Subsidy = €205 (This is tier 2)</t>
  </si>
  <si>
    <t>IF ARNWP &gt; €586 and &lt;= 960, and ERPP &gt; 80%, no Subsidy (This is tier 3)</t>
  </si>
  <si>
    <t>IF ARNWP &gt; €960 and ERAP&lt;=960 and ERPP &lt;= 60%, Subsidy = €350 (This is tier 1)</t>
  </si>
  <si>
    <t>IF ARNWP &gt; €960 and ERAP&lt;=960 and ERPP &gt; 60% and &lt;= 80%, Subsidy = €205 (This is tier 2)</t>
  </si>
  <si>
    <t>IF ERAP &gt; €960, no Subsidy (This is tier 3)</t>
  </si>
  <si>
    <t>Examples of the effects that increasing or decreasing Additional Gross Payment have on the subsidy amount.</t>
  </si>
  <si>
    <t>Employer's optional Additional Gross Payment amount</t>
  </si>
  <si>
    <t>Taxable Pay - Employer Additional Gross Payment (optional)</t>
  </si>
  <si>
    <t>Total of Additional Gross Payment before tax, plus subsidy</t>
  </si>
  <si>
    <t>Determine the Maximum Additional Gross Payment employer can make before tapering to receive full subsidy (MWEPBT)</t>
  </si>
  <si>
    <t>Enter the amount of Additional Gross Payment you wish to give to the employee in the Yellow ERAP cell in Section A.</t>
  </si>
  <si>
    <t>The MWEPBT shows the maximum amount of taxable pay (Additional Gross Payment) that the employer can make before the subsidy is reduced/tapered.</t>
  </si>
  <si>
    <t>Using the MWEPBT as a guide, determine the amount of taxable Additional Gross Payment (top up), if any, you wish to pay the employee.</t>
  </si>
  <si>
    <t>Sample Subsidy Calculator V1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</si>
</sst>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0.00000000000000000000"/>
  </numFmts>
  <fonts count="10" x14ac:knownFonts="1">
    <font>
      <sz val="11"/>
      <color theme="1"/>
      <name val="Calibri"/>
      <family val="2"/>
      <scheme val="minor"/>
    </font>
    <font>
      <sz val="11"/>
      <color theme="1"/>
      <name val="Calibri"/>
      <family val="2"/>
      <scheme val="minor"/>
    </font>
    <font>
      <sz val="11"/>
      <color theme="0"/>
      <name val="Calibri"/>
      <family val="2"/>
      <scheme val="minor"/>
    </font>
    <font>
      <sz val="22"/>
      <color theme="0"/>
      <name val="Calibri"/>
      <family val="2"/>
      <scheme val="minor"/>
    </font>
    <font>
      <sz val="14"/>
      <color theme="0"/>
      <name val="Calibri"/>
      <family val="2"/>
      <scheme val="minor"/>
    </font>
    <font>
      <sz val="11"/>
      <color theme="9" tint="-0.499984740745262"/>
      <name val="Calibri"/>
      <family val="2"/>
      <scheme val="minor"/>
    </font>
    <font>
      <sz val="10"/>
      <color rgb="FFFF0000"/>
      <name val="Calibri"/>
      <family val="2"/>
      <scheme val="minor"/>
    </font>
    <font>
      <b/>
      <sz val="11"/>
      <color theme="1"/>
      <name val="Calibri"/>
      <family val="2"/>
      <scheme val="minor"/>
    </font>
    <font>
      <b/>
      <sz val="11"/>
      <color rgb="FFFF0000"/>
      <name val="Calibri"/>
      <family val="2"/>
      <scheme val="minor"/>
    </font>
    <font>
      <b/>
      <sz val="11"/>
      <color theme="9" tint="-0.249977111117893"/>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008080"/>
        <bgColor indexed="64"/>
      </patternFill>
    </fill>
    <fill>
      <patternFill patternType="solid">
        <fgColor theme="9" tint="0.59996337778862885"/>
        <bgColor indexed="64"/>
      </patternFill>
    </fill>
    <fill>
      <patternFill patternType="solid">
        <fgColor theme="7" tint="0.79998168889431442"/>
        <bgColor indexed="64"/>
      </patternFill>
    </fill>
  </fills>
  <borders count="23">
    <border>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style="thick">
        <color theme="9" tint="-0.24994659260841701"/>
      </left>
      <right/>
      <top style="thick">
        <color theme="9" tint="-0.24994659260841701"/>
      </top>
      <bottom/>
      <diagonal/>
    </border>
    <border>
      <left/>
      <right/>
      <top style="thick">
        <color theme="9" tint="-0.24994659260841701"/>
      </top>
      <bottom/>
      <diagonal/>
    </border>
    <border>
      <left/>
      <right style="thick">
        <color theme="9" tint="-0.24994659260841701"/>
      </right>
      <top style="thick">
        <color theme="9" tint="-0.24994659260841701"/>
      </top>
      <bottom/>
      <diagonal/>
    </border>
    <border>
      <left style="thick">
        <color theme="9" tint="-0.24994659260841701"/>
      </left>
      <right/>
      <top/>
      <bottom/>
      <diagonal/>
    </border>
    <border>
      <left/>
      <right style="thick">
        <color theme="9" tint="-0.24994659260841701"/>
      </right>
      <top/>
      <bottom/>
      <diagonal/>
    </border>
    <border>
      <left style="thick">
        <color theme="9" tint="-0.24994659260841701"/>
      </left>
      <right/>
      <top/>
      <bottom style="thick">
        <color theme="9" tint="-0.24994659260841701"/>
      </bottom>
      <diagonal/>
    </border>
    <border>
      <left/>
      <right/>
      <top/>
      <bottom style="thick">
        <color theme="9" tint="-0.24994659260841701"/>
      </bottom>
      <diagonal/>
    </border>
    <border>
      <left/>
      <right style="thick">
        <color theme="9" tint="-0.24994659260841701"/>
      </right>
      <top/>
      <bottom style="thick">
        <color theme="9" tint="-0.24994659260841701"/>
      </bottom>
      <diagonal/>
    </border>
  </borders>
  <cellStyleXfs count="2">
    <xf numFmtId="0" fontId="0" fillId="0" borderId="0"/>
    <xf numFmtId="9" fontId="1" fillId="0" borderId="0" applyFont="0" applyFill="0" applyBorder="0" applyAlignment="0" applyProtection="0"/>
  </cellStyleXfs>
  <cellXfs count="63">
    <xf numFmtId="0" fontId="0" fillId="0" borderId="0" xfId="0"/>
    <xf numFmtId="0" fontId="0" fillId="0" borderId="0" xfId="0" applyAlignment="1">
      <alignment horizontal="center"/>
    </xf>
    <xf numFmtId="0" fontId="0" fillId="0" borderId="2" xfId="0" applyBorder="1"/>
    <xf numFmtId="0" fontId="0" fillId="4" borderId="1" xfId="0" applyFill="1" applyBorder="1"/>
    <xf numFmtId="0" fontId="0" fillId="0" borderId="5" xfId="0" applyBorder="1"/>
    <xf numFmtId="0" fontId="0" fillId="4" borderId="1" xfId="0" applyFill="1" applyBorder="1" applyAlignment="1">
      <alignment horizontal="right"/>
    </xf>
    <xf numFmtId="0" fontId="0" fillId="0" borderId="3" xfId="0" applyBorder="1"/>
    <xf numFmtId="0" fontId="0" fillId="0" borderId="0" xfId="0" applyAlignment="1">
      <alignment vertical="top"/>
    </xf>
    <xf numFmtId="0" fontId="2" fillId="3" borderId="6" xfId="0" applyFont="1" applyFill="1" applyBorder="1" applyAlignment="1">
      <alignment vertical="top"/>
    </xf>
    <xf numFmtId="0" fontId="3" fillId="3" borderId="7" xfId="0" applyFont="1" applyFill="1" applyBorder="1" applyAlignment="1">
      <alignment vertical="top"/>
    </xf>
    <xf numFmtId="0" fontId="2" fillId="3" borderId="7" xfId="0" applyFont="1" applyFill="1" applyBorder="1" applyAlignment="1">
      <alignment vertical="top"/>
    </xf>
    <xf numFmtId="0" fontId="2" fillId="3" borderId="8" xfId="0" applyFont="1" applyFill="1" applyBorder="1" applyAlignment="1">
      <alignment vertical="top"/>
    </xf>
    <xf numFmtId="164" fontId="0" fillId="0" borderId="0" xfId="0" applyNumberFormat="1"/>
    <xf numFmtId="0" fontId="2" fillId="3" borderId="3" xfId="0" applyFont="1" applyFill="1" applyBorder="1"/>
    <xf numFmtId="0" fontId="2" fillId="3" borderId="5" xfId="0" applyFont="1" applyFill="1" applyBorder="1"/>
    <xf numFmtId="0" fontId="2" fillId="3" borderId="2" xfId="0" applyFont="1" applyFill="1" applyBorder="1"/>
    <xf numFmtId="0" fontId="2" fillId="3" borderId="1" xfId="0" applyFont="1" applyFill="1" applyBorder="1" applyAlignment="1"/>
    <xf numFmtId="0" fontId="0" fillId="0" borderId="12" xfId="0" applyBorder="1"/>
    <xf numFmtId="0" fontId="0" fillId="0" borderId="13" xfId="0" applyBorder="1"/>
    <xf numFmtId="0" fontId="2" fillId="3" borderId="2" xfId="0" applyFont="1" applyFill="1" applyBorder="1" applyAlignment="1"/>
    <xf numFmtId="0" fontId="2" fillId="3" borderId="4" xfId="0" applyFont="1" applyFill="1" applyBorder="1" applyAlignment="1"/>
    <xf numFmtId="0" fontId="0" fillId="0" borderId="14" xfId="0" applyBorder="1" applyAlignment="1">
      <alignment wrapText="1"/>
    </xf>
    <xf numFmtId="0" fontId="0" fillId="0" borderId="0" xfId="0" applyBorder="1"/>
    <xf numFmtId="0" fontId="0" fillId="0" borderId="0" xfId="0" applyBorder="1" applyAlignment="1">
      <alignment wrapText="1"/>
    </xf>
    <xf numFmtId="0" fontId="0" fillId="2" borderId="0" xfId="0" applyFill="1" applyBorder="1" applyProtection="1">
      <protection locked="0"/>
    </xf>
    <xf numFmtId="0" fontId="0" fillId="0" borderId="0" xfId="0" applyFill="1" applyBorder="1" applyAlignment="1">
      <alignment wrapText="1"/>
    </xf>
    <xf numFmtId="10" fontId="0" fillId="0" borderId="0" xfId="1" applyNumberFormat="1" applyFont="1" applyFill="1" applyBorder="1"/>
    <xf numFmtId="9" fontId="0" fillId="0" borderId="0" xfId="1" applyFont="1" applyFill="1" applyBorder="1"/>
    <xf numFmtId="0" fontId="0" fillId="0" borderId="15" xfId="0" applyBorder="1"/>
    <xf numFmtId="0" fontId="0" fillId="0" borderId="16" xfId="0" applyBorder="1"/>
    <xf numFmtId="0" fontId="0" fillId="0" borderId="17" xfId="0" applyBorder="1"/>
    <xf numFmtId="0" fontId="0" fillId="0" borderId="18" xfId="0" applyBorder="1" applyAlignment="1">
      <alignment vertical="top"/>
    </xf>
    <xf numFmtId="0" fontId="0" fillId="0" borderId="19" xfId="0" applyBorder="1" applyAlignment="1">
      <alignment vertical="top"/>
    </xf>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0" xfId="0" applyBorder="1" applyAlignment="1"/>
    <xf numFmtId="0" fontId="0" fillId="0" borderId="0" xfId="0" applyBorder="1" applyAlignment="1">
      <alignment horizontal="center"/>
    </xf>
    <xf numFmtId="4" fontId="0" fillId="0" borderId="0" xfId="0" applyNumberFormat="1" applyBorder="1"/>
    <xf numFmtId="164" fontId="0" fillId="0" borderId="19" xfId="0" applyNumberFormat="1" applyBorder="1"/>
    <xf numFmtId="9" fontId="5" fillId="5" borderId="0" xfId="0" applyNumberFormat="1" applyFont="1" applyFill="1" applyBorder="1" applyAlignment="1">
      <alignment horizontal="center"/>
    </xf>
    <xf numFmtId="0" fontId="5" fillId="5" borderId="0" xfId="0" applyFont="1" applyFill="1" applyBorder="1" applyAlignment="1">
      <alignment horizontal="center" wrapText="1"/>
    </xf>
    <xf numFmtId="9" fontId="5" fillId="5" borderId="0" xfId="0" quotePrefix="1" applyNumberFormat="1" applyFont="1" applyFill="1" applyBorder="1" applyAlignment="1">
      <alignment horizontal="center"/>
    </xf>
    <xf numFmtId="0" fontId="5" fillId="5" borderId="0" xfId="0" quotePrefix="1" applyFont="1" applyFill="1" applyBorder="1" applyAlignment="1">
      <alignment horizontal="center"/>
    </xf>
    <xf numFmtId="0" fontId="0" fillId="0" borderId="0" xfId="0" applyFill="1" applyBorder="1"/>
    <xf numFmtId="0" fontId="0" fillId="5" borderId="0" xfId="0" applyFill="1" applyBorder="1"/>
    <xf numFmtId="164" fontId="0" fillId="0" borderId="18" xfId="0" applyNumberFormat="1" applyBorder="1"/>
    <xf numFmtId="0" fontId="9" fillId="0" borderId="16" xfId="0" applyFont="1" applyBorder="1"/>
    <xf numFmtId="0" fontId="0" fillId="0" borderId="0" xfId="0" applyAlignment="1">
      <alignment vertical="top" wrapText="1"/>
    </xf>
    <xf numFmtId="0" fontId="7" fillId="0" borderId="0" xfId="0" applyFont="1"/>
    <xf numFmtId="165" fontId="0" fillId="0" borderId="19" xfId="0" applyNumberFormat="1" applyBorder="1"/>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4" fillId="3" borderId="7" xfId="0" applyFont="1" applyFill="1" applyBorder="1" applyAlignment="1">
      <alignment horizontal="center" vertical="top" wrapText="1"/>
    </xf>
    <xf numFmtId="0" fontId="4" fillId="3" borderId="0" xfId="0" applyFont="1" applyFill="1" applyBorder="1" applyAlignment="1">
      <alignment horizontal="center" vertical="top" wrapText="1"/>
    </xf>
    <xf numFmtId="0" fontId="0" fillId="0" borderId="2" xfId="0" applyBorder="1" applyAlignment="1">
      <alignment horizontal="left"/>
    </xf>
    <xf numFmtId="0" fontId="0" fillId="0" borderId="12" xfId="0" applyBorder="1" applyAlignment="1">
      <alignment horizontal="left"/>
    </xf>
    <xf numFmtId="0" fontId="0" fillId="0" borderId="5" xfId="0" applyBorder="1" applyAlignment="1">
      <alignment horizontal="left"/>
    </xf>
    <xf numFmtId="0" fontId="7" fillId="0" borderId="2" xfId="0" applyFont="1" applyBorder="1" applyAlignment="1">
      <alignment horizontal="left"/>
    </xf>
    <xf numFmtId="0" fontId="7" fillId="0" borderId="12" xfId="0" applyFont="1" applyBorder="1" applyAlignment="1">
      <alignment horizontal="left"/>
    </xf>
  </cellXfs>
  <cellStyles count="2">
    <cellStyle name="Normal" xfId="0" builtinId="0"/>
    <cellStyle name="Percent" xfId="1" builtinId="5"/>
  </cellStyles>
  <dxfs count="8">
    <dxf>
      <fill>
        <patternFill>
          <bgColor theme="9" tint="0.59996337778862885"/>
        </patternFill>
      </fill>
    </dxf>
    <dxf>
      <fill>
        <patternFill>
          <bgColor theme="7" tint="0.79998168889431442"/>
        </patternFill>
      </fill>
    </dxf>
    <dxf>
      <fill>
        <patternFill>
          <bgColor theme="4" tint="0.79998168889431442"/>
        </patternFill>
      </fill>
    </dxf>
    <dxf>
      <fill>
        <patternFill patternType="none">
          <bgColor auto="1"/>
        </patternFill>
      </fill>
    </dxf>
    <dxf>
      <fill>
        <patternFill>
          <bgColor theme="9" tint="0.59996337778862885"/>
        </patternFill>
      </fill>
    </dxf>
    <dxf>
      <fill>
        <patternFill>
          <bgColor theme="7" tint="0.79998168889431442"/>
        </patternFill>
      </fill>
    </dxf>
    <dxf>
      <fill>
        <patternFill>
          <bgColor theme="4" tint="0.79998168889431442"/>
        </patternFill>
      </fill>
    </dxf>
    <dxf>
      <fill>
        <patternFill patternType="none">
          <bgColor auto="1"/>
        </patternFill>
      </fill>
    </dxf>
  </dxfs>
  <tableStyles count="0" defaultTableStyle="TableStyleMedium2" defaultPivotStyle="PivotStyleLight16"/>
  <colors>
    <mruColors>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33582-4805-4447-A0A3-71A6F2276F06}">
  <dimension ref="A1:D36"/>
  <sheetViews>
    <sheetView tabSelected="1" workbookViewId="0">
      <selection activeCell="B2" sqref="B2:D2"/>
    </sheetView>
  </sheetViews>
  <sheetFormatPr defaultRowHeight="15" x14ac:dyDescent="0.25"/>
  <cols>
    <col min="1" max="1" width="2.85546875" customWidth="1"/>
    <col min="3" max="3" width="83.42578125" customWidth="1"/>
    <col min="4" max="4" width="10.28515625" customWidth="1"/>
  </cols>
  <sheetData>
    <row r="1" spans="1:4" s="7" customFormat="1" ht="42" customHeight="1" x14ac:dyDescent="0.25">
      <c r="A1" s="31"/>
      <c r="B1" s="8"/>
      <c r="C1" s="9" t="s">
        <v>87</v>
      </c>
      <c r="D1" s="11"/>
    </row>
    <row r="2" spans="1:4" ht="51" customHeight="1" thickBot="1" x14ac:dyDescent="0.3">
      <c r="A2" s="33"/>
      <c r="B2" s="53" t="s">
        <v>72</v>
      </c>
      <c r="C2" s="54"/>
      <c r="D2" s="55"/>
    </row>
    <row r="3" spans="1:4" ht="30" x14ac:dyDescent="0.25">
      <c r="C3" s="50" t="s">
        <v>44</v>
      </c>
    </row>
    <row r="4" spans="1:4" x14ac:dyDescent="0.25">
      <c r="C4" s="50"/>
    </row>
    <row r="5" spans="1:4" x14ac:dyDescent="0.25">
      <c r="B5" t="s">
        <v>45</v>
      </c>
    </row>
    <row r="6" spans="1:4" x14ac:dyDescent="0.25">
      <c r="B6" s="1">
        <v>1</v>
      </c>
      <c r="C6" t="s">
        <v>46</v>
      </c>
    </row>
    <row r="7" spans="1:4" x14ac:dyDescent="0.25">
      <c r="B7" s="1">
        <v>2</v>
      </c>
      <c r="C7" t="s">
        <v>47</v>
      </c>
    </row>
    <row r="8" spans="1:4" ht="7.5" customHeight="1" x14ac:dyDescent="0.25">
      <c r="B8" s="1"/>
    </row>
    <row r="9" spans="1:4" x14ac:dyDescent="0.25">
      <c r="B9" s="1">
        <v>3</v>
      </c>
      <c r="C9" t="s">
        <v>69</v>
      </c>
    </row>
    <row r="10" spans="1:4" ht="7.5" customHeight="1" x14ac:dyDescent="0.25">
      <c r="B10" s="1"/>
    </row>
    <row r="11" spans="1:4" x14ac:dyDescent="0.25">
      <c r="B11" s="1">
        <v>4</v>
      </c>
      <c r="C11" t="s">
        <v>57</v>
      </c>
    </row>
    <row r="12" spans="1:4" x14ac:dyDescent="0.25">
      <c r="B12" s="1"/>
      <c r="C12" t="s">
        <v>48</v>
      </c>
    </row>
    <row r="13" spans="1:4" ht="6" customHeight="1" x14ac:dyDescent="0.25">
      <c r="B13" s="1"/>
    </row>
    <row r="14" spans="1:4" x14ac:dyDescent="0.25">
      <c r="B14" s="1">
        <v>5</v>
      </c>
      <c r="C14" t="s">
        <v>56</v>
      </c>
    </row>
    <row r="15" spans="1:4" x14ac:dyDescent="0.25">
      <c r="B15" s="1"/>
      <c r="C15" s="51" t="s">
        <v>50</v>
      </c>
    </row>
    <row r="16" spans="1:4" ht="6" customHeight="1" x14ac:dyDescent="0.25">
      <c r="B16" s="1"/>
    </row>
    <row r="17" spans="2:3" x14ac:dyDescent="0.25">
      <c r="B17" s="1">
        <v>6</v>
      </c>
      <c r="C17" t="s">
        <v>60</v>
      </c>
    </row>
    <row r="18" spans="2:3" x14ac:dyDescent="0.25">
      <c r="B18" s="1"/>
      <c r="C18" t="s">
        <v>62</v>
      </c>
    </row>
    <row r="19" spans="2:3" x14ac:dyDescent="0.25">
      <c r="B19" s="1"/>
      <c r="C19" t="s">
        <v>85</v>
      </c>
    </row>
    <row r="20" spans="2:3" x14ac:dyDescent="0.25">
      <c r="B20" s="1"/>
      <c r="C20" t="s">
        <v>86</v>
      </c>
    </row>
    <row r="21" spans="2:3" x14ac:dyDescent="0.25">
      <c r="B21" s="1"/>
      <c r="C21" t="s">
        <v>61</v>
      </c>
    </row>
    <row r="22" spans="2:3" ht="6" customHeight="1" x14ac:dyDescent="0.25">
      <c r="B22" s="1"/>
    </row>
    <row r="23" spans="2:3" x14ac:dyDescent="0.25">
      <c r="B23" s="1">
        <v>7</v>
      </c>
      <c r="C23" t="s">
        <v>84</v>
      </c>
    </row>
    <row r="24" spans="2:3" x14ac:dyDescent="0.25">
      <c r="B24" s="1"/>
      <c r="C24" t="s">
        <v>55</v>
      </c>
    </row>
    <row r="25" spans="2:3" x14ac:dyDescent="0.25">
      <c r="B25" s="1"/>
      <c r="C25" t="s">
        <v>49</v>
      </c>
    </row>
    <row r="26" spans="2:3" x14ac:dyDescent="0.25">
      <c r="B26" s="1"/>
    </row>
    <row r="27" spans="2:3" x14ac:dyDescent="0.25">
      <c r="B27" s="1"/>
      <c r="C27" t="s">
        <v>70</v>
      </c>
    </row>
    <row r="28" spans="2:3" x14ac:dyDescent="0.25">
      <c r="B28" s="1"/>
      <c r="C28" t="s">
        <v>71</v>
      </c>
    </row>
    <row r="29" spans="2:3" x14ac:dyDescent="0.25">
      <c r="B29" s="1"/>
    </row>
    <row r="30" spans="2:3" x14ac:dyDescent="0.25">
      <c r="B30" s="1"/>
      <c r="C30" s="51" t="s">
        <v>51</v>
      </c>
    </row>
    <row r="31" spans="2:3" ht="6" customHeight="1" x14ac:dyDescent="0.25">
      <c r="B31" s="1"/>
    </row>
    <row r="32" spans="2:3" x14ac:dyDescent="0.25">
      <c r="B32" s="1">
        <v>8</v>
      </c>
      <c r="C32" t="s">
        <v>53</v>
      </c>
    </row>
    <row r="33" spans="2:3" x14ac:dyDescent="0.25">
      <c r="B33" s="1"/>
      <c r="C33" t="s">
        <v>52</v>
      </c>
    </row>
    <row r="34" spans="2:3" x14ac:dyDescent="0.25">
      <c r="B34" s="1"/>
      <c r="C34" t="s">
        <v>63</v>
      </c>
    </row>
    <row r="35" spans="2:3" x14ac:dyDescent="0.25">
      <c r="B35" s="1"/>
      <c r="C35" t="s">
        <v>54</v>
      </c>
    </row>
    <row r="36" spans="2:3" x14ac:dyDescent="0.25">
      <c r="B36" s="1"/>
      <c r="C36" t="s">
        <v>59</v>
      </c>
    </row>
  </sheetData>
  <sheetProtection algorithmName="SHA-512" hashValue="ad+EjVmpM/LRtJMD6x4vS4PZKkiC5+C0LPSuU/Rbdv4sPXilyworHpg85fqO2VSf/3uE7dgJ+LxDcZaEGOzzWA==" saltValue="xYitiD+/+vxKAsADjvT0YA==" spinCount="100000" sheet="1" objects="1" scenarios="1"/>
  <mergeCells count="1">
    <mergeCell ref="B2:D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2D960-A436-47B3-9C80-6B6CAEB67725}">
  <dimension ref="A1:R43"/>
  <sheetViews>
    <sheetView workbookViewId="0">
      <selection activeCell="B14" sqref="B14:C14"/>
    </sheetView>
  </sheetViews>
  <sheetFormatPr defaultRowHeight="15" x14ac:dyDescent="0.25"/>
  <cols>
    <col min="1" max="1" width="2.85546875" customWidth="1"/>
    <col min="3" max="3" width="82.5703125" customWidth="1"/>
    <col min="4" max="4" width="10.7109375" customWidth="1"/>
    <col min="5" max="5" width="10.28515625" customWidth="1"/>
    <col min="6" max="6" width="28.140625" customWidth="1"/>
    <col min="7" max="8" width="3.140625" customWidth="1"/>
    <col min="13" max="13" width="9.140625" customWidth="1"/>
    <col min="18" max="18" width="3.42578125" customWidth="1"/>
  </cols>
  <sheetData>
    <row r="1" spans="1:18" ht="16.5" thickTop="1" thickBot="1" x14ac:dyDescent="0.3">
      <c r="A1" s="28"/>
      <c r="B1" s="49" t="s">
        <v>41</v>
      </c>
      <c r="C1" s="29"/>
      <c r="D1" s="29"/>
      <c r="E1" s="29"/>
      <c r="F1" s="30"/>
      <c r="H1" s="28"/>
      <c r="I1" s="49" t="s">
        <v>43</v>
      </c>
      <c r="J1" s="29"/>
      <c r="K1" s="29"/>
      <c r="L1" s="29"/>
      <c r="M1" s="29"/>
      <c r="N1" s="29"/>
      <c r="O1" s="29"/>
      <c r="P1" s="29"/>
      <c r="Q1" s="29"/>
      <c r="R1" s="30"/>
    </row>
    <row r="2" spans="1:18" s="7" customFormat="1" ht="42" customHeight="1" x14ac:dyDescent="0.25">
      <c r="A2" s="31"/>
      <c r="B2" s="8"/>
      <c r="C2" s="9" t="str">
        <f>+Instructions!C1</f>
        <v>Sample Subsidy Calculator V1</v>
      </c>
      <c r="D2" s="10"/>
      <c r="E2" s="11"/>
      <c r="F2" s="32"/>
      <c r="H2" s="31"/>
      <c r="I2" s="56" t="s">
        <v>79</v>
      </c>
      <c r="J2" s="56"/>
      <c r="K2" s="56"/>
      <c r="L2" s="56"/>
      <c r="M2" s="56"/>
      <c r="N2" s="56"/>
      <c r="O2" s="56"/>
      <c r="P2" s="56"/>
      <c r="Q2" s="56"/>
      <c r="R2" s="32"/>
    </row>
    <row r="3" spans="1:18" ht="51" customHeight="1" thickBot="1" x14ac:dyDescent="0.3">
      <c r="A3" s="33"/>
      <c r="B3" s="53" t="str">
        <f>+Instructions!B2</f>
        <v>This sample calculator is provided as a guide only and is not to be used or taken as professional advice, including legal advice. It should not be assumed that the calculator is comprehensive or that it provides a definitive answer in every case. In the event of any discrepancy in calculated figures the official calculation as provided for in the operational phase is the authoritative one. This calculator assumes the employee has only one employment.</v>
      </c>
      <c r="C3" s="54"/>
      <c r="D3" s="54"/>
      <c r="E3" s="55"/>
      <c r="F3" s="34"/>
      <c r="H3" s="33"/>
      <c r="I3" s="57"/>
      <c r="J3" s="57"/>
      <c r="K3" s="57"/>
      <c r="L3" s="57"/>
      <c r="M3" s="57"/>
      <c r="N3" s="57"/>
      <c r="O3" s="57"/>
      <c r="P3" s="57"/>
      <c r="Q3" s="57"/>
      <c r="R3" s="34"/>
    </row>
    <row r="4" spans="1:18" ht="33" customHeight="1" x14ac:dyDescent="0.25">
      <c r="A4" s="33"/>
      <c r="B4" s="22"/>
      <c r="C4" s="22"/>
      <c r="D4" s="22"/>
      <c r="E4" s="22"/>
      <c r="F4" s="34"/>
      <c r="H4" s="33"/>
      <c r="I4" s="42">
        <v>-1</v>
      </c>
      <c r="J4" s="42">
        <v>-0.75</v>
      </c>
      <c r="K4" s="42">
        <v>-0.5</v>
      </c>
      <c r="L4" s="42">
        <v>-0.25</v>
      </c>
      <c r="M4" s="43" t="s">
        <v>32</v>
      </c>
      <c r="N4" s="44" t="s">
        <v>36</v>
      </c>
      <c r="O4" s="45" t="s">
        <v>33</v>
      </c>
      <c r="P4" s="45" t="s">
        <v>34</v>
      </c>
      <c r="Q4" s="45" t="s">
        <v>35</v>
      </c>
      <c r="R4" s="34"/>
    </row>
    <row r="5" spans="1:18" x14ac:dyDescent="0.25">
      <c r="A5" s="33"/>
      <c r="B5" s="22"/>
      <c r="C5" s="23" t="s">
        <v>68</v>
      </c>
      <c r="D5" s="23" t="s">
        <v>25</v>
      </c>
      <c r="E5" s="24">
        <v>700</v>
      </c>
      <c r="F5" s="34" t="s">
        <v>30</v>
      </c>
      <c r="H5" s="33"/>
      <c r="I5" s="46">
        <f>+$E5</f>
        <v>700</v>
      </c>
      <c r="J5" s="46">
        <f t="shared" ref="J5:Q5" si="0">+$E5</f>
        <v>700</v>
      </c>
      <c r="K5" s="46">
        <f t="shared" si="0"/>
        <v>700</v>
      </c>
      <c r="L5" s="46">
        <f t="shared" si="0"/>
        <v>700</v>
      </c>
      <c r="M5" s="46">
        <f t="shared" si="0"/>
        <v>700</v>
      </c>
      <c r="N5" s="46">
        <f t="shared" si="0"/>
        <v>700</v>
      </c>
      <c r="O5" s="46">
        <f t="shared" si="0"/>
        <v>700</v>
      </c>
      <c r="P5" s="46">
        <f t="shared" si="0"/>
        <v>700</v>
      </c>
      <c r="Q5" s="46">
        <f t="shared" si="0"/>
        <v>700</v>
      </c>
      <c r="R5" s="34"/>
    </row>
    <row r="6" spans="1:18" x14ac:dyDescent="0.25">
      <c r="A6" s="33"/>
      <c r="B6" s="22"/>
      <c r="C6" s="23" t="s">
        <v>80</v>
      </c>
      <c r="D6" s="23" t="s">
        <v>26</v>
      </c>
      <c r="E6" s="24">
        <v>350</v>
      </c>
      <c r="F6" s="34" t="s">
        <v>31</v>
      </c>
      <c r="H6" s="33"/>
      <c r="I6" s="47">
        <v>0</v>
      </c>
      <c r="J6" s="47">
        <f>ROUND(M6*25%,2)</f>
        <v>87.5</v>
      </c>
      <c r="K6" s="47">
        <f>ROUND(M6*50%,2)</f>
        <v>175</v>
      </c>
      <c r="L6" s="47">
        <f>ROUND(M6*75%,2)</f>
        <v>262.5</v>
      </c>
      <c r="M6" s="47">
        <f>+E6</f>
        <v>350</v>
      </c>
      <c r="N6" s="47">
        <f>ROUND(M6*125%,2)</f>
        <v>437.5</v>
      </c>
      <c r="O6" s="47">
        <f>ROUND(M6*150%,2)</f>
        <v>525</v>
      </c>
      <c r="P6" s="47">
        <f>ROUND(M6*175%,2)</f>
        <v>612.5</v>
      </c>
      <c r="Q6" s="47">
        <f>ROUND(M6*200%,2)</f>
        <v>700</v>
      </c>
      <c r="R6" s="34"/>
    </row>
    <row r="7" spans="1:18" x14ac:dyDescent="0.25">
      <c r="A7" s="33"/>
      <c r="B7" s="22"/>
      <c r="C7" s="25" t="s">
        <v>27</v>
      </c>
      <c r="D7" s="25" t="s">
        <v>1</v>
      </c>
      <c r="E7" s="26">
        <f>ROUND(E6/E5,4)</f>
        <v>0.5</v>
      </c>
      <c r="F7" s="34"/>
      <c r="H7" s="33"/>
      <c r="I7" s="26">
        <f t="shared" ref="I7:Q7" si="1">ROUND(I6/I5,4)</f>
        <v>0</v>
      </c>
      <c r="J7" s="26">
        <f t="shared" si="1"/>
        <v>0.125</v>
      </c>
      <c r="K7" s="26">
        <f t="shared" si="1"/>
        <v>0.25</v>
      </c>
      <c r="L7" s="26">
        <f t="shared" si="1"/>
        <v>0.375</v>
      </c>
      <c r="M7" s="26">
        <f t="shared" si="1"/>
        <v>0.5</v>
      </c>
      <c r="N7" s="26">
        <f t="shared" si="1"/>
        <v>0.625</v>
      </c>
      <c r="O7" s="26">
        <f t="shared" si="1"/>
        <v>0.75</v>
      </c>
      <c r="P7" s="26">
        <f t="shared" si="1"/>
        <v>0.875</v>
      </c>
      <c r="Q7" s="26">
        <f t="shared" si="1"/>
        <v>1</v>
      </c>
      <c r="R7" s="34"/>
    </row>
    <row r="8" spans="1:18" x14ac:dyDescent="0.25">
      <c r="A8" s="33"/>
      <c r="B8" s="22"/>
      <c r="C8" s="25"/>
      <c r="D8" s="25"/>
      <c r="E8" s="27"/>
      <c r="F8" s="34"/>
      <c r="H8" s="33"/>
      <c r="I8" s="27"/>
      <c r="J8" s="27"/>
      <c r="K8" s="27"/>
      <c r="L8" s="27"/>
      <c r="M8" s="27"/>
      <c r="N8" s="27"/>
      <c r="O8" s="27"/>
      <c r="P8" s="27"/>
      <c r="Q8" s="27"/>
      <c r="R8" s="34"/>
    </row>
    <row r="9" spans="1:18" x14ac:dyDescent="0.25">
      <c r="A9" s="33"/>
      <c r="B9" s="13" t="s">
        <v>28</v>
      </c>
      <c r="C9" s="14"/>
      <c r="D9" s="15"/>
      <c r="E9" s="16"/>
      <c r="F9" s="34"/>
      <c r="H9" s="33"/>
      <c r="I9" s="19"/>
      <c r="J9" s="20"/>
      <c r="K9" s="20"/>
      <c r="L9" s="20"/>
      <c r="M9" s="20"/>
      <c r="N9" s="20"/>
      <c r="O9" s="20"/>
      <c r="P9" s="20"/>
      <c r="Q9" s="16"/>
      <c r="R9" s="34"/>
    </row>
    <row r="10" spans="1:18" x14ac:dyDescent="0.25">
      <c r="A10" s="33"/>
      <c r="B10" s="58" t="s">
        <v>67</v>
      </c>
      <c r="C10" s="59"/>
      <c r="D10" s="2" t="s">
        <v>4</v>
      </c>
      <c r="E10" s="3">
        <f>+E5</f>
        <v>700</v>
      </c>
      <c r="F10" s="34"/>
      <c r="H10" s="33"/>
      <c r="I10" s="3">
        <f t="shared" ref="I10:Q10" si="2">+I5</f>
        <v>700</v>
      </c>
      <c r="J10" s="3">
        <f t="shared" si="2"/>
        <v>700</v>
      </c>
      <c r="K10" s="3">
        <f t="shared" si="2"/>
        <v>700</v>
      </c>
      <c r="L10" s="3">
        <f t="shared" si="2"/>
        <v>700</v>
      </c>
      <c r="M10" s="3">
        <f t="shared" si="2"/>
        <v>700</v>
      </c>
      <c r="N10" s="3">
        <f t="shared" si="2"/>
        <v>700</v>
      </c>
      <c r="O10" s="3">
        <f t="shared" si="2"/>
        <v>700</v>
      </c>
      <c r="P10" s="3">
        <f t="shared" si="2"/>
        <v>700</v>
      </c>
      <c r="Q10" s="3">
        <f t="shared" si="2"/>
        <v>700</v>
      </c>
      <c r="R10" s="34"/>
    </row>
    <row r="11" spans="1:18" x14ac:dyDescent="0.25">
      <c r="A11" s="33"/>
      <c r="B11" s="58" t="s">
        <v>39</v>
      </c>
      <c r="C11" s="59"/>
      <c r="D11" s="2" t="s">
        <v>5</v>
      </c>
      <c r="E11" s="3">
        <f>+E34</f>
        <v>350</v>
      </c>
      <c r="F11" s="34"/>
      <c r="H11" s="33"/>
      <c r="I11" s="3">
        <f t="shared" ref="I11:Q11" si="3">+I34</f>
        <v>350</v>
      </c>
      <c r="J11" s="3">
        <f t="shared" si="3"/>
        <v>350</v>
      </c>
      <c r="K11" s="3">
        <f t="shared" si="3"/>
        <v>350</v>
      </c>
      <c r="L11" s="3">
        <f t="shared" si="3"/>
        <v>350</v>
      </c>
      <c r="M11" s="3">
        <f t="shared" si="3"/>
        <v>350</v>
      </c>
      <c r="N11" s="3">
        <f t="shared" si="3"/>
        <v>205</v>
      </c>
      <c r="O11" s="3">
        <f t="shared" si="3"/>
        <v>205</v>
      </c>
      <c r="P11" s="3">
        <f t="shared" si="3"/>
        <v>0</v>
      </c>
      <c r="Q11" s="3">
        <f t="shared" si="3"/>
        <v>0</v>
      </c>
      <c r="R11" s="34"/>
    </row>
    <row r="12" spans="1:18" x14ac:dyDescent="0.25">
      <c r="A12" s="33"/>
      <c r="B12" s="58" t="s">
        <v>58</v>
      </c>
      <c r="C12" s="59"/>
      <c r="D12" s="2" t="s">
        <v>6</v>
      </c>
      <c r="E12" s="3">
        <f>+E40</f>
        <v>350</v>
      </c>
      <c r="F12" s="34"/>
      <c r="H12" s="33"/>
      <c r="I12" s="3">
        <f t="shared" ref="I12:Q12" si="4">+I40</f>
        <v>350</v>
      </c>
      <c r="J12" s="3">
        <f t="shared" si="4"/>
        <v>350</v>
      </c>
      <c r="K12" s="3">
        <f t="shared" si="4"/>
        <v>350</v>
      </c>
      <c r="L12" s="3">
        <f t="shared" si="4"/>
        <v>350</v>
      </c>
      <c r="M12" s="3">
        <f t="shared" si="4"/>
        <v>350</v>
      </c>
      <c r="N12" s="3">
        <f t="shared" si="4"/>
        <v>495</v>
      </c>
      <c r="O12" s="3">
        <f t="shared" si="4"/>
        <v>495</v>
      </c>
      <c r="P12" s="3">
        <f t="shared" si="4"/>
        <v>0</v>
      </c>
      <c r="Q12" s="3">
        <f t="shared" si="4"/>
        <v>0</v>
      </c>
      <c r="R12" s="34"/>
    </row>
    <row r="13" spans="1:18" x14ac:dyDescent="0.25">
      <c r="A13" s="33"/>
      <c r="B13" s="58" t="s">
        <v>81</v>
      </c>
      <c r="C13" s="59"/>
      <c r="D13" s="2" t="s">
        <v>7</v>
      </c>
      <c r="E13" s="3">
        <f>+E6</f>
        <v>350</v>
      </c>
      <c r="F13" s="34"/>
      <c r="H13" s="33"/>
      <c r="I13" s="3">
        <f t="shared" ref="I13:Q13" si="5">+I6</f>
        <v>0</v>
      </c>
      <c r="J13" s="3">
        <f t="shared" si="5"/>
        <v>87.5</v>
      </c>
      <c r="K13" s="3">
        <f t="shared" si="5"/>
        <v>175</v>
      </c>
      <c r="L13" s="3">
        <f t="shared" si="5"/>
        <v>262.5</v>
      </c>
      <c r="M13" s="3">
        <f t="shared" si="5"/>
        <v>350</v>
      </c>
      <c r="N13" s="3">
        <f t="shared" si="5"/>
        <v>437.5</v>
      </c>
      <c r="O13" s="3">
        <f t="shared" si="5"/>
        <v>525</v>
      </c>
      <c r="P13" s="3">
        <f t="shared" si="5"/>
        <v>612.5</v>
      </c>
      <c r="Q13" s="3">
        <f t="shared" si="5"/>
        <v>700</v>
      </c>
      <c r="R13" s="34"/>
    </row>
    <row r="14" spans="1:18" x14ac:dyDescent="0.25">
      <c r="A14" s="33"/>
      <c r="B14" s="58" t="s">
        <v>12</v>
      </c>
      <c r="C14" s="59"/>
      <c r="D14" s="2" t="s">
        <v>8</v>
      </c>
      <c r="E14" s="3">
        <f>ROUND((MAX(0,E13-E12)),2)</f>
        <v>0</v>
      </c>
      <c r="F14" s="52"/>
      <c r="H14" s="33"/>
      <c r="I14" s="3">
        <f t="shared" ref="I14:Q14" si="6">ROUND((MAX(0,I13-I12)),2)</f>
        <v>0</v>
      </c>
      <c r="J14" s="3">
        <f t="shared" si="6"/>
        <v>0</v>
      </c>
      <c r="K14" s="3">
        <f t="shared" si="6"/>
        <v>0</v>
      </c>
      <c r="L14" s="3">
        <f t="shared" si="6"/>
        <v>0</v>
      </c>
      <c r="M14" s="3">
        <f t="shared" si="6"/>
        <v>0</v>
      </c>
      <c r="N14" s="3">
        <f t="shared" si="6"/>
        <v>0</v>
      </c>
      <c r="O14" s="3">
        <f t="shared" si="6"/>
        <v>30</v>
      </c>
      <c r="P14" s="3">
        <f t="shared" si="6"/>
        <v>612.5</v>
      </c>
      <c r="Q14" s="3">
        <f t="shared" si="6"/>
        <v>700</v>
      </c>
      <c r="R14" s="34"/>
    </row>
    <row r="15" spans="1:18" x14ac:dyDescent="0.25">
      <c r="A15" s="33"/>
      <c r="B15" s="58"/>
      <c r="C15" s="60"/>
      <c r="D15" s="4"/>
      <c r="E15" s="17"/>
      <c r="F15" s="34"/>
      <c r="H15" s="33"/>
      <c r="I15" s="17"/>
      <c r="J15" s="17"/>
      <c r="K15" s="17"/>
      <c r="L15" s="17"/>
      <c r="M15" s="17"/>
      <c r="N15" s="17"/>
      <c r="O15" s="17"/>
      <c r="P15" s="17"/>
      <c r="Q15" s="17"/>
      <c r="R15" s="34"/>
    </row>
    <row r="16" spans="1:18" x14ac:dyDescent="0.25">
      <c r="A16" s="33"/>
      <c r="B16" s="61" t="s">
        <v>38</v>
      </c>
      <c r="C16" s="62"/>
      <c r="D16" s="2" t="s">
        <v>9</v>
      </c>
      <c r="E16" s="3">
        <f>ROUND(MAX(E11-E14,0),2)</f>
        <v>350</v>
      </c>
      <c r="F16" s="34"/>
      <c r="H16" s="33"/>
      <c r="I16" s="3">
        <f t="shared" ref="I16:Q16" si="7">ROUND(MAX(I11-I14,0),2)</f>
        <v>350</v>
      </c>
      <c r="J16" s="3">
        <f t="shared" si="7"/>
        <v>350</v>
      </c>
      <c r="K16" s="3">
        <f t="shared" si="7"/>
        <v>350</v>
      </c>
      <c r="L16" s="3">
        <f t="shared" si="7"/>
        <v>350</v>
      </c>
      <c r="M16" s="3">
        <f t="shared" si="7"/>
        <v>350</v>
      </c>
      <c r="N16" s="3">
        <f t="shared" si="7"/>
        <v>205</v>
      </c>
      <c r="O16" s="3">
        <f t="shared" si="7"/>
        <v>175</v>
      </c>
      <c r="P16" s="3">
        <f t="shared" si="7"/>
        <v>0</v>
      </c>
      <c r="Q16" s="3">
        <f t="shared" si="7"/>
        <v>0</v>
      </c>
      <c r="R16" s="34"/>
    </row>
    <row r="17" spans="1:18" x14ac:dyDescent="0.25">
      <c r="A17" s="33"/>
      <c r="B17" s="58" t="s">
        <v>82</v>
      </c>
      <c r="C17" s="59"/>
      <c r="D17" s="2" t="s">
        <v>10</v>
      </c>
      <c r="E17" s="3">
        <f t="shared" ref="E17" si="8">E16+E13</f>
        <v>700</v>
      </c>
      <c r="F17" s="34"/>
      <c r="H17" s="33"/>
      <c r="I17" s="3">
        <f t="shared" ref="I17:Q17" si="9">I16+I13</f>
        <v>350</v>
      </c>
      <c r="J17" s="3">
        <f t="shared" si="9"/>
        <v>437.5</v>
      </c>
      <c r="K17" s="3">
        <f t="shared" si="9"/>
        <v>525</v>
      </c>
      <c r="L17" s="3">
        <f t="shared" si="9"/>
        <v>612.5</v>
      </c>
      <c r="M17" s="3">
        <f t="shared" si="9"/>
        <v>700</v>
      </c>
      <c r="N17" s="3">
        <f t="shared" si="9"/>
        <v>642.5</v>
      </c>
      <c r="O17" s="3">
        <f t="shared" si="9"/>
        <v>700</v>
      </c>
      <c r="P17" s="3">
        <f t="shared" si="9"/>
        <v>612.5</v>
      </c>
      <c r="Q17" s="3">
        <f t="shared" si="9"/>
        <v>700</v>
      </c>
      <c r="R17" s="34"/>
    </row>
    <row r="18" spans="1:18" x14ac:dyDescent="0.25">
      <c r="A18" s="33"/>
      <c r="B18" s="58"/>
      <c r="C18" s="60"/>
      <c r="D18" s="4"/>
      <c r="E18" s="17"/>
      <c r="F18" s="34"/>
      <c r="H18" s="33"/>
      <c r="I18" s="17"/>
      <c r="J18" s="17"/>
      <c r="K18" s="17"/>
      <c r="L18" s="17"/>
      <c r="M18" s="17"/>
      <c r="N18" s="17"/>
      <c r="O18" s="17"/>
      <c r="P18" s="17"/>
      <c r="Q18" s="17"/>
      <c r="R18" s="34"/>
    </row>
    <row r="19" spans="1:18" x14ac:dyDescent="0.25">
      <c r="A19" s="33"/>
      <c r="B19" s="58" t="s">
        <v>37</v>
      </c>
      <c r="C19" s="59"/>
      <c r="D19" s="2" t="s">
        <v>11</v>
      </c>
      <c r="E19" s="5" t="str">
        <f>IF(E16&gt;0,"J9","Employee")</f>
        <v>J9</v>
      </c>
      <c r="F19" s="34"/>
      <c r="H19" s="33"/>
      <c r="I19" s="5" t="str">
        <f t="shared" ref="I19:Q19" si="10">IF(I16&gt;0,"J9","Employee")</f>
        <v>J9</v>
      </c>
      <c r="J19" s="5" t="str">
        <f t="shared" si="10"/>
        <v>J9</v>
      </c>
      <c r="K19" s="5" t="str">
        <f t="shared" si="10"/>
        <v>J9</v>
      </c>
      <c r="L19" s="5" t="str">
        <f t="shared" si="10"/>
        <v>J9</v>
      </c>
      <c r="M19" s="5" t="str">
        <f t="shared" si="10"/>
        <v>J9</v>
      </c>
      <c r="N19" s="5" t="str">
        <f t="shared" si="10"/>
        <v>J9</v>
      </c>
      <c r="O19" s="5" t="str">
        <f t="shared" si="10"/>
        <v>J9</v>
      </c>
      <c r="P19" s="5" t="str">
        <f t="shared" si="10"/>
        <v>Employee</v>
      </c>
      <c r="Q19" s="5" t="str">
        <f t="shared" si="10"/>
        <v>Employee</v>
      </c>
      <c r="R19" s="34"/>
    </row>
    <row r="20" spans="1:18" x14ac:dyDescent="0.25">
      <c r="A20" s="33"/>
      <c r="B20" s="58" t="s">
        <v>24</v>
      </c>
      <c r="C20" s="60"/>
      <c r="D20" s="18"/>
      <c r="E20" s="6" t="str">
        <f>IF(E16=0,"None",IF(E14=0,"Full","Tapered"))</f>
        <v>Full</v>
      </c>
      <c r="F20" s="34"/>
      <c r="H20" s="33"/>
      <c r="I20" s="6" t="str">
        <f t="shared" ref="I20:Q20" si="11">IF(I16=0,"None",IF(I14=0,"Full","Tapered"))</f>
        <v>Full</v>
      </c>
      <c r="J20" s="6" t="str">
        <f t="shared" si="11"/>
        <v>Full</v>
      </c>
      <c r="K20" s="6" t="str">
        <f t="shared" si="11"/>
        <v>Full</v>
      </c>
      <c r="L20" s="6" t="str">
        <f t="shared" si="11"/>
        <v>Full</v>
      </c>
      <c r="M20" s="6" t="str">
        <f t="shared" si="11"/>
        <v>Full</v>
      </c>
      <c r="N20" s="6" t="str">
        <f t="shared" si="11"/>
        <v>Full</v>
      </c>
      <c r="O20" s="6" t="str">
        <f t="shared" si="11"/>
        <v>Tapered</v>
      </c>
      <c r="P20" s="6" t="str">
        <f t="shared" si="11"/>
        <v>None</v>
      </c>
      <c r="Q20" s="6" t="str">
        <f t="shared" si="11"/>
        <v>None</v>
      </c>
      <c r="R20" s="34"/>
    </row>
    <row r="21" spans="1:18" ht="15.75" thickBot="1" x14ac:dyDescent="0.3">
      <c r="A21" s="35"/>
      <c r="B21" s="36"/>
      <c r="C21" s="36"/>
      <c r="D21" s="36"/>
      <c r="E21" s="36"/>
      <c r="F21" s="37"/>
      <c r="H21" s="33"/>
      <c r="I21" s="22"/>
      <c r="J21" s="22"/>
      <c r="K21" s="22"/>
      <c r="L21" s="22"/>
      <c r="M21" s="22"/>
      <c r="N21" s="22"/>
      <c r="O21" s="22"/>
      <c r="P21" s="22"/>
      <c r="Q21" s="22"/>
      <c r="R21" s="34"/>
    </row>
    <row r="22" spans="1:18" ht="16.5" thickTop="1" thickBot="1" x14ac:dyDescent="0.3">
      <c r="H22" s="33"/>
      <c r="I22" s="22"/>
      <c r="J22" s="22"/>
      <c r="K22" s="22"/>
      <c r="L22" s="22"/>
      <c r="M22" s="22"/>
      <c r="N22" s="22"/>
      <c r="O22" s="22"/>
      <c r="P22" s="22"/>
      <c r="Q22" s="22"/>
      <c r="R22" s="34"/>
    </row>
    <row r="23" spans="1:18" ht="15.75" thickTop="1" x14ac:dyDescent="0.25">
      <c r="A23" s="28"/>
      <c r="B23" s="49" t="s">
        <v>42</v>
      </c>
      <c r="C23" s="29"/>
      <c r="D23" s="29"/>
      <c r="E23" s="29"/>
      <c r="F23" s="30"/>
      <c r="H23" s="33"/>
      <c r="I23" s="22"/>
      <c r="J23" s="22"/>
      <c r="K23" s="22"/>
      <c r="L23" s="22"/>
      <c r="M23" s="22"/>
      <c r="N23" s="22"/>
      <c r="O23" s="22"/>
      <c r="P23" s="22"/>
      <c r="Q23" s="22"/>
      <c r="R23" s="34"/>
    </row>
    <row r="24" spans="1:18" x14ac:dyDescent="0.25">
      <c r="A24" s="33"/>
      <c r="B24" s="38" t="s">
        <v>40</v>
      </c>
      <c r="C24" s="25"/>
      <c r="D24" s="25"/>
      <c r="E24" s="25"/>
      <c r="F24" s="34"/>
      <c r="H24" s="33"/>
      <c r="I24" s="25"/>
      <c r="J24" s="25"/>
      <c r="K24" s="25"/>
      <c r="L24" s="25"/>
      <c r="M24" s="25"/>
      <c r="N24" s="25"/>
      <c r="O24" s="25"/>
      <c r="P24" s="25"/>
      <c r="Q24" s="25"/>
      <c r="R24" s="34"/>
    </row>
    <row r="25" spans="1:18" x14ac:dyDescent="0.25">
      <c r="A25" s="33"/>
      <c r="B25" s="39" t="s">
        <v>15</v>
      </c>
      <c r="C25" s="25" t="s">
        <v>64</v>
      </c>
      <c r="D25" s="25"/>
      <c r="E25" s="25">
        <f>IF((E5&lt;=412),MIN(350,ROUND(E5*85%,2)),0)</f>
        <v>0</v>
      </c>
      <c r="F25" s="34"/>
      <c r="H25" s="33"/>
      <c r="I25" s="25">
        <f t="shared" ref="I25:Q25" si="12">IF((I5&lt;=412),MIN(350,ROUND(I5*85%,2)),0)</f>
        <v>0</v>
      </c>
      <c r="J25" s="25">
        <f t="shared" si="12"/>
        <v>0</v>
      </c>
      <c r="K25" s="25">
        <f t="shared" si="12"/>
        <v>0</v>
      </c>
      <c r="L25" s="25">
        <f t="shared" si="12"/>
        <v>0</v>
      </c>
      <c r="M25" s="25">
        <f t="shared" si="12"/>
        <v>0</v>
      </c>
      <c r="N25" s="25">
        <f t="shared" si="12"/>
        <v>0</v>
      </c>
      <c r="O25" s="25">
        <f t="shared" si="12"/>
        <v>0</v>
      </c>
      <c r="P25" s="25">
        <f t="shared" si="12"/>
        <v>0</v>
      </c>
      <c r="Q25" s="25">
        <f t="shared" si="12"/>
        <v>0</v>
      </c>
      <c r="R25" s="34"/>
    </row>
    <row r="26" spans="1:18" x14ac:dyDescent="0.25">
      <c r="A26" s="33"/>
      <c r="B26" s="39" t="s">
        <v>16</v>
      </c>
      <c r="C26" s="25" t="s">
        <v>65</v>
      </c>
      <c r="D26" s="25"/>
      <c r="E26" s="25">
        <f>IF(AND(E5&gt;412,E5&lt;=500),350,0)</f>
        <v>0</v>
      </c>
      <c r="F26" s="34"/>
      <c r="H26" s="33"/>
      <c r="I26" s="25">
        <f t="shared" ref="I26:Q26" si="13">IF(AND(I5&gt;412,I5&lt;=500),350,0)</f>
        <v>0</v>
      </c>
      <c r="J26" s="25">
        <f t="shared" si="13"/>
        <v>0</v>
      </c>
      <c r="K26" s="25">
        <f t="shared" si="13"/>
        <v>0</v>
      </c>
      <c r="L26" s="25">
        <f t="shared" si="13"/>
        <v>0</v>
      </c>
      <c r="M26" s="25">
        <f t="shared" si="13"/>
        <v>0</v>
      </c>
      <c r="N26" s="25">
        <f t="shared" si="13"/>
        <v>0</v>
      </c>
      <c r="O26" s="25">
        <f t="shared" si="13"/>
        <v>0</v>
      </c>
      <c r="P26" s="25">
        <f t="shared" si="13"/>
        <v>0</v>
      </c>
      <c r="Q26" s="25">
        <f t="shared" si="13"/>
        <v>0</v>
      </c>
      <c r="R26" s="34"/>
    </row>
    <row r="27" spans="1:18" x14ac:dyDescent="0.25">
      <c r="A27" s="33"/>
      <c r="B27" s="39" t="s">
        <v>17</v>
      </c>
      <c r="C27" s="25" t="s">
        <v>66</v>
      </c>
      <c r="D27" s="25"/>
      <c r="E27" s="25">
        <f>IF(AND(E5&gt;500,E5&lt;=586),MIN(ROUND(E5*70%,2),410),0)</f>
        <v>0</v>
      </c>
      <c r="F27" s="34"/>
      <c r="H27" s="33"/>
      <c r="I27" s="25">
        <f t="shared" ref="I27:Q27" si="14">IF(AND(I5&gt;500,I5&lt;=586),MIN(ROUND(I5*70%,2),410),0)</f>
        <v>0</v>
      </c>
      <c r="J27" s="25">
        <f t="shared" si="14"/>
        <v>0</v>
      </c>
      <c r="K27" s="25">
        <f t="shared" si="14"/>
        <v>0</v>
      </c>
      <c r="L27" s="25">
        <f t="shared" si="14"/>
        <v>0</v>
      </c>
      <c r="M27" s="25">
        <f t="shared" si="14"/>
        <v>0</v>
      </c>
      <c r="N27" s="25">
        <f t="shared" si="14"/>
        <v>0</v>
      </c>
      <c r="O27" s="25">
        <f t="shared" si="14"/>
        <v>0</v>
      </c>
      <c r="P27" s="25">
        <f t="shared" si="14"/>
        <v>0</v>
      </c>
      <c r="Q27" s="25">
        <f t="shared" si="14"/>
        <v>0</v>
      </c>
      <c r="R27" s="34"/>
    </row>
    <row r="28" spans="1:18" x14ac:dyDescent="0.25">
      <c r="A28" s="33"/>
      <c r="B28" s="39" t="s">
        <v>18</v>
      </c>
      <c r="C28" s="25" t="s">
        <v>73</v>
      </c>
      <c r="D28" s="25"/>
      <c r="E28" s="25">
        <f>IF(AND(E5&gt;586,E5&lt;=960,E7&lt;=60%),350,0)</f>
        <v>350</v>
      </c>
      <c r="F28" s="34"/>
      <c r="H28" s="33"/>
      <c r="I28" s="25">
        <f t="shared" ref="I28:Q28" si="15">IF(AND(I5&gt;586,I5&lt;=960,I7&lt;=60%),350,0)</f>
        <v>350</v>
      </c>
      <c r="J28" s="25">
        <f t="shared" si="15"/>
        <v>350</v>
      </c>
      <c r="K28" s="25">
        <f t="shared" si="15"/>
        <v>350</v>
      </c>
      <c r="L28" s="25">
        <f t="shared" si="15"/>
        <v>350</v>
      </c>
      <c r="M28" s="25">
        <f t="shared" si="15"/>
        <v>350</v>
      </c>
      <c r="N28" s="25">
        <f t="shared" si="15"/>
        <v>0</v>
      </c>
      <c r="O28" s="25">
        <f t="shared" si="15"/>
        <v>0</v>
      </c>
      <c r="P28" s="25">
        <f t="shared" si="15"/>
        <v>0</v>
      </c>
      <c r="Q28" s="25">
        <f t="shared" si="15"/>
        <v>0</v>
      </c>
      <c r="R28" s="34"/>
    </row>
    <row r="29" spans="1:18" x14ac:dyDescent="0.25">
      <c r="A29" s="33"/>
      <c r="B29" s="39" t="s">
        <v>19</v>
      </c>
      <c r="C29" s="25" t="s">
        <v>74</v>
      </c>
      <c r="D29" s="25"/>
      <c r="E29" s="25">
        <f>IF(AND(E5&gt;586,E5&lt;=960,E7&gt;60%,E7&lt;=80%),205,0)</f>
        <v>0</v>
      </c>
      <c r="F29" s="41"/>
      <c r="G29" s="12"/>
      <c r="H29" s="48"/>
      <c r="I29" s="25">
        <f t="shared" ref="I29:Q29" si="16">IF(AND(I5&gt;586,I5&lt;=960,I7&gt;60%,I7&lt;=80%),205,0)</f>
        <v>0</v>
      </c>
      <c r="J29" s="25">
        <f t="shared" si="16"/>
        <v>0</v>
      </c>
      <c r="K29" s="25">
        <f t="shared" si="16"/>
        <v>0</v>
      </c>
      <c r="L29" s="25">
        <f t="shared" si="16"/>
        <v>0</v>
      </c>
      <c r="M29" s="25">
        <f t="shared" si="16"/>
        <v>0</v>
      </c>
      <c r="N29" s="25">
        <f t="shared" si="16"/>
        <v>205</v>
      </c>
      <c r="O29" s="25">
        <f t="shared" si="16"/>
        <v>205</v>
      </c>
      <c r="P29" s="25">
        <f t="shared" si="16"/>
        <v>0</v>
      </c>
      <c r="Q29" s="25">
        <f t="shared" si="16"/>
        <v>0</v>
      </c>
      <c r="R29" s="34"/>
    </row>
    <row r="30" spans="1:18" x14ac:dyDescent="0.25">
      <c r="A30" s="33"/>
      <c r="B30" s="39" t="s">
        <v>20</v>
      </c>
      <c r="C30" s="25" t="s">
        <v>75</v>
      </c>
      <c r="D30" s="25"/>
      <c r="E30" s="25"/>
      <c r="F30" s="34"/>
      <c r="H30" s="33"/>
      <c r="I30" s="25"/>
      <c r="J30" s="25"/>
      <c r="K30" s="25"/>
      <c r="L30" s="25"/>
      <c r="M30" s="25"/>
      <c r="N30" s="25"/>
      <c r="O30" s="25"/>
      <c r="P30" s="25"/>
      <c r="Q30" s="25"/>
      <c r="R30" s="34"/>
    </row>
    <row r="31" spans="1:18" x14ac:dyDescent="0.25">
      <c r="A31" s="33"/>
      <c r="B31" s="39" t="s">
        <v>21</v>
      </c>
      <c r="C31" s="25" t="s">
        <v>76</v>
      </c>
      <c r="D31" s="25"/>
      <c r="E31" s="25">
        <f>IF(AND(E5&gt;960,E6&lt;=960,E7&lt;=60%),350,0)</f>
        <v>0</v>
      </c>
      <c r="F31" s="34"/>
      <c r="H31" s="33"/>
      <c r="I31" s="25">
        <f t="shared" ref="I31:Q31" si="17">IF(AND(I5&gt;960,I6&lt;=960,I7&lt;=60%),350,0)</f>
        <v>0</v>
      </c>
      <c r="J31" s="25">
        <f t="shared" si="17"/>
        <v>0</v>
      </c>
      <c r="K31" s="25">
        <f t="shared" si="17"/>
        <v>0</v>
      </c>
      <c r="L31" s="25">
        <f t="shared" si="17"/>
        <v>0</v>
      </c>
      <c r="M31" s="25">
        <f t="shared" si="17"/>
        <v>0</v>
      </c>
      <c r="N31" s="25">
        <f t="shared" si="17"/>
        <v>0</v>
      </c>
      <c r="O31" s="25">
        <f t="shared" si="17"/>
        <v>0</v>
      </c>
      <c r="P31" s="25">
        <f t="shared" si="17"/>
        <v>0</v>
      </c>
      <c r="Q31" s="25">
        <f t="shared" si="17"/>
        <v>0</v>
      </c>
      <c r="R31" s="34"/>
    </row>
    <row r="32" spans="1:18" x14ac:dyDescent="0.25">
      <c r="A32" s="33"/>
      <c r="B32" s="39" t="s">
        <v>22</v>
      </c>
      <c r="C32" s="25" t="s">
        <v>77</v>
      </c>
      <c r="D32" s="25"/>
      <c r="E32" s="25">
        <f>IF(AND(E5&gt;960,E6&lt;=960,E7&gt;60%,E7&lt;=80%),205,0)</f>
        <v>0</v>
      </c>
      <c r="F32" s="34"/>
      <c r="H32" s="33"/>
      <c r="I32" s="25">
        <f t="shared" ref="I32:Q32" si="18">IF(AND(I5&gt;960,I6&lt;=960,I7&gt;60%,I7&lt;=80%),205,0)</f>
        <v>0</v>
      </c>
      <c r="J32" s="25">
        <f t="shared" si="18"/>
        <v>0</v>
      </c>
      <c r="K32" s="25">
        <f t="shared" si="18"/>
        <v>0</v>
      </c>
      <c r="L32" s="25">
        <f t="shared" si="18"/>
        <v>0</v>
      </c>
      <c r="M32" s="25">
        <f t="shared" si="18"/>
        <v>0</v>
      </c>
      <c r="N32" s="25">
        <f t="shared" si="18"/>
        <v>0</v>
      </c>
      <c r="O32" s="25">
        <f t="shared" si="18"/>
        <v>0</v>
      </c>
      <c r="P32" s="25">
        <f t="shared" si="18"/>
        <v>0</v>
      </c>
      <c r="Q32" s="25">
        <f t="shared" si="18"/>
        <v>0</v>
      </c>
      <c r="R32" s="34"/>
    </row>
    <row r="33" spans="1:18" x14ac:dyDescent="0.25">
      <c r="A33" s="33"/>
      <c r="B33" s="39" t="s">
        <v>23</v>
      </c>
      <c r="C33" s="23" t="s">
        <v>78</v>
      </c>
      <c r="D33" s="23"/>
      <c r="E33" s="23"/>
      <c r="F33" s="34"/>
      <c r="H33" s="33"/>
      <c r="I33" s="23"/>
      <c r="J33" s="23"/>
      <c r="K33" s="23"/>
      <c r="L33" s="23"/>
      <c r="M33" s="23"/>
      <c r="N33" s="23"/>
      <c r="O33" s="23"/>
      <c r="P33" s="23"/>
      <c r="Q33" s="23"/>
      <c r="R33" s="34"/>
    </row>
    <row r="34" spans="1:18" ht="15.75" thickBot="1" x14ac:dyDescent="0.3">
      <c r="A34" s="33"/>
      <c r="B34" s="39"/>
      <c r="C34" s="38" t="s">
        <v>2</v>
      </c>
      <c r="D34" s="23" t="s">
        <v>0</v>
      </c>
      <c r="E34" s="21">
        <f>MAX(E25:E33)</f>
        <v>350</v>
      </c>
      <c r="F34" s="34"/>
      <c r="H34" s="33"/>
      <c r="I34" s="21">
        <f t="shared" ref="I34:Q34" si="19">MAX(I25:I33)</f>
        <v>350</v>
      </c>
      <c r="J34" s="21">
        <f t="shared" si="19"/>
        <v>350</v>
      </c>
      <c r="K34" s="21">
        <f t="shared" si="19"/>
        <v>350</v>
      </c>
      <c r="L34" s="21">
        <f t="shared" si="19"/>
        <v>350</v>
      </c>
      <c r="M34" s="21">
        <f t="shared" si="19"/>
        <v>350</v>
      </c>
      <c r="N34" s="21">
        <f t="shared" si="19"/>
        <v>205</v>
      </c>
      <c r="O34" s="21">
        <f t="shared" si="19"/>
        <v>205</v>
      </c>
      <c r="P34" s="21">
        <f t="shared" si="19"/>
        <v>0</v>
      </c>
      <c r="Q34" s="21">
        <f t="shared" si="19"/>
        <v>0</v>
      </c>
      <c r="R34" s="34"/>
    </row>
    <row r="35" spans="1:18" ht="15.75" thickTop="1" x14ac:dyDescent="0.25">
      <c r="A35" s="33"/>
      <c r="B35" s="22"/>
      <c r="C35" s="23"/>
      <c r="D35" s="23"/>
      <c r="E35" s="23"/>
      <c r="F35" s="34"/>
      <c r="H35" s="33"/>
      <c r="I35" s="23"/>
      <c r="J35" s="23"/>
      <c r="K35" s="23"/>
      <c r="L35" s="23"/>
      <c r="M35" s="23"/>
      <c r="N35" s="23"/>
      <c r="O35" s="23"/>
      <c r="P35" s="23"/>
      <c r="Q35" s="23"/>
      <c r="R35" s="34"/>
    </row>
    <row r="36" spans="1:18" x14ac:dyDescent="0.25">
      <c r="A36" s="33"/>
      <c r="B36" s="22" t="s">
        <v>83</v>
      </c>
      <c r="C36" s="22"/>
      <c r="D36" s="22"/>
      <c r="E36" s="22"/>
      <c r="F36" s="34"/>
      <c r="H36" s="33"/>
      <c r="I36" s="22"/>
      <c r="J36" s="22"/>
      <c r="K36" s="22"/>
      <c r="L36" s="22"/>
      <c r="M36" s="22"/>
      <c r="N36" s="22"/>
      <c r="O36" s="22"/>
      <c r="P36" s="22"/>
      <c r="Q36" s="22"/>
      <c r="R36" s="34"/>
    </row>
    <row r="37" spans="1:18" x14ac:dyDescent="0.25">
      <c r="A37" s="33"/>
      <c r="B37" s="22"/>
      <c r="C37" s="23" t="s">
        <v>13</v>
      </c>
      <c r="D37" s="23"/>
      <c r="E37" s="23">
        <f>E5-E34</f>
        <v>350</v>
      </c>
      <c r="F37" s="34"/>
      <c r="H37" s="33"/>
      <c r="I37" s="23">
        <f t="shared" ref="I37:Q37" si="20">I5-I34</f>
        <v>350</v>
      </c>
      <c r="J37" s="23">
        <f t="shared" si="20"/>
        <v>350</v>
      </c>
      <c r="K37" s="23">
        <f t="shared" si="20"/>
        <v>350</v>
      </c>
      <c r="L37" s="23">
        <f t="shared" si="20"/>
        <v>350</v>
      </c>
      <c r="M37" s="23">
        <f t="shared" si="20"/>
        <v>350</v>
      </c>
      <c r="N37" s="23">
        <f t="shared" si="20"/>
        <v>495</v>
      </c>
      <c r="O37" s="23">
        <f t="shared" si="20"/>
        <v>495</v>
      </c>
      <c r="P37" s="23">
        <f t="shared" si="20"/>
        <v>700</v>
      </c>
      <c r="Q37" s="23">
        <f t="shared" si="20"/>
        <v>700</v>
      </c>
      <c r="R37" s="34"/>
    </row>
    <row r="38" spans="1:18" x14ac:dyDescent="0.25">
      <c r="A38" s="33"/>
      <c r="B38" s="22"/>
      <c r="C38" s="23" t="s">
        <v>29</v>
      </c>
      <c r="D38" s="22"/>
      <c r="E38" s="23">
        <f>MAX(E37,(350-E34))</f>
        <v>350</v>
      </c>
      <c r="F38" s="34"/>
      <c r="H38" s="33"/>
      <c r="I38" s="23">
        <f t="shared" ref="I38:Q38" si="21">MAX(I37,(350-I34))</f>
        <v>350</v>
      </c>
      <c r="J38" s="23">
        <f t="shared" si="21"/>
        <v>350</v>
      </c>
      <c r="K38" s="23">
        <f t="shared" si="21"/>
        <v>350</v>
      </c>
      <c r="L38" s="23">
        <f t="shared" si="21"/>
        <v>350</v>
      </c>
      <c r="M38" s="23">
        <f t="shared" si="21"/>
        <v>350</v>
      </c>
      <c r="N38" s="23">
        <f t="shared" si="21"/>
        <v>495</v>
      </c>
      <c r="O38" s="23">
        <f t="shared" si="21"/>
        <v>495</v>
      </c>
      <c r="P38" s="23">
        <f t="shared" si="21"/>
        <v>700</v>
      </c>
      <c r="Q38" s="23">
        <f t="shared" si="21"/>
        <v>700</v>
      </c>
      <c r="R38" s="34"/>
    </row>
    <row r="39" spans="1:18" x14ac:dyDescent="0.25">
      <c r="A39" s="33"/>
      <c r="B39" s="22"/>
      <c r="C39" s="23" t="s">
        <v>14</v>
      </c>
      <c r="D39" s="23"/>
      <c r="E39" s="23">
        <f>IF(E31+E32&gt;0,960-E34,0)</f>
        <v>0</v>
      </c>
      <c r="F39" s="34"/>
      <c r="H39" s="33"/>
      <c r="I39" s="23">
        <f t="shared" ref="I39:Q39" si="22">IF(I31+I32&gt;0,960-I34,0)</f>
        <v>0</v>
      </c>
      <c r="J39" s="23">
        <f t="shared" si="22"/>
        <v>0</v>
      </c>
      <c r="K39" s="23">
        <f t="shared" si="22"/>
        <v>0</v>
      </c>
      <c r="L39" s="23">
        <f t="shared" si="22"/>
        <v>0</v>
      </c>
      <c r="M39" s="23">
        <f t="shared" si="22"/>
        <v>0</v>
      </c>
      <c r="N39" s="23">
        <f t="shared" si="22"/>
        <v>0</v>
      </c>
      <c r="O39" s="23">
        <f t="shared" si="22"/>
        <v>0</v>
      </c>
      <c r="P39" s="23">
        <f t="shared" si="22"/>
        <v>0</v>
      </c>
      <c r="Q39" s="23">
        <f t="shared" si="22"/>
        <v>0</v>
      </c>
      <c r="R39" s="34"/>
    </row>
    <row r="40" spans="1:18" ht="15.75" thickBot="1" x14ac:dyDescent="0.3">
      <c r="A40" s="33"/>
      <c r="B40" s="22"/>
      <c r="C40" s="23"/>
      <c r="D40" s="23" t="s">
        <v>3</v>
      </c>
      <c r="E40" s="21">
        <f>ROUND(IF(AND(E7&gt;80%,E5&gt;586),0,(IF(E39&gt;0,E39,E38))),2)</f>
        <v>350</v>
      </c>
      <c r="F40" s="34"/>
      <c r="H40" s="33"/>
      <c r="I40" s="21">
        <f t="shared" ref="I40:Q40" si="23">ROUND(IF(AND(I7&gt;80%,I5&gt;586),0,(IF(I39&gt;0,I39,I38))),2)</f>
        <v>350</v>
      </c>
      <c r="J40" s="21">
        <f t="shared" si="23"/>
        <v>350</v>
      </c>
      <c r="K40" s="21">
        <f t="shared" si="23"/>
        <v>350</v>
      </c>
      <c r="L40" s="21">
        <f t="shared" si="23"/>
        <v>350</v>
      </c>
      <c r="M40" s="21">
        <f t="shared" si="23"/>
        <v>350</v>
      </c>
      <c r="N40" s="21">
        <f t="shared" si="23"/>
        <v>495</v>
      </c>
      <c r="O40" s="21">
        <f t="shared" si="23"/>
        <v>495</v>
      </c>
      <c r="P40" s="21">
        <f t="shared" si="23"/>
        <v>0</v>
      </c>
      <c r="Q40" s="21">
        <f t="shared" si="23"/>
        <v>0</v>
      </c>
      <c r="R40" s="34"/>
    </row>
    <row r="41" spans="1:18" ht="15.75" thickTop="1" x14ac:dyDescent="0.25">
      <c r="A41" s="33"/>
      <c r="B41" s="22"/>
      <c r="C41" s="22"/>
      <c r="D41" s="40"/>
      <c r="E41" s="40"/>
      <c r="F41" s="34"/>
      <c r="H41" s="33"/>
      <c r="I41" s="40"/>
      <c r="J41" s="40"/>
      <c r="K41" s="40"/>
      <c r="L41" s="40"/>
      <c r="M41" s="40"/>
      <c r="N41" s="40"/>
      <c r="O41" s="40"/>
      <c r="P41" s="40"/>
      <c r="Q41" s="40"/>
      <c r="R41" s="34"/>
    </row>
    <row r="42" spans="1:18" ht="15.75" thickBot="1" x14ac:dyDescent="0.3">
      <c r="A42" s="35"/>
      <c r="B42" s="36"/>
      <c r="C42" s="36"/>
      <c r="D42" s="36"/>
      <c r="E42" s="36"/>
      <c r="F42" s="37"/>
      <c r="H42" s="35"/>
      <c r="I42" s="36"/>
      <c r="J42" s="36"/>
      <c r="K42" s="36"/>
      <c r="L42" s="36"/>
      <c r="M42" s="36"/>
      <c r="N42" s="36"/>
      <c r="O42" s="36"/>
      <c r="P42" s="36"/>
      <c r="Q42" s="36"/>
      <c r="R42" s="37"/>
    </row>
    <row r="43" spans="1:18" ht="15.75" thickTop="1" x14ac:dyDescent="0.25"/>
  </sheetData>
  <sheetProtection algorithmName="SHA-512" hashValue="j8H/Kin4IAttF2OEv8OiBW0ZGPtbAdP9YUQ2zBdyx6QUWd4VV52uG9t7tHNyE1i6dHeY+zBSYHa8ufq+OaYBSA==" saltValue="AFnft0dV2IgAQPlNBZcV2Q==" spinCount="100000" sheet="1" objects="1" scenarios="1"/>
  <mergeCells count="13">
    <mergeCell ref="B18:C18"/>
    <mergeCell ref="B19:C19"/>
    <mergeCell ref="B20:C20"/>
    <mergeCell ref="B13:C13"/>
    <mergeCell ref="B14:C14"/>
    <mergeCell ref="B15:C15"/>
    <mergeCell ref="B16:C16"/>
    <mergeCell ref="B17:C17"/>
    <mergeCell ref="B3:E3"/>
    <mergeCell ref="I2:Q3"/>
    <mergeCell ref="B10:C10"/>
    <mergeCell ref="B11:C11"/>
    <mergeCell ref="B12:C12"/>
  </mergeCells>
  <conditionalFormatting sqref="E10:E19">
    <cfRule type="expression" dxfId="7" priority="81">
      <formula>ISBLANK($D10)</formula>
    </cfRule>
    <cfRule type="expression" dxfId="6" priority="82">
      <formula>IF(OR(E$20="None",E$20="Tada"),TRUE,FALSE)</formula>
    </cfRule>
    <cfRule type="expression" dxfId="5" priority="83">
      <formula>IF(OR(E$20="Tapered",E$20="Barrchaolaithe"),TRUE,FALSE)</formula>
    </cfRule>
    <cfRule type="expression" dxfId="4" priority="84">
      <formula>IF(OR(E$20="Full",E$20="Iomlán"),TRUE,FALSE)</formula>
    </cfRule>
  </conditionalFormatting>
  <conditionalFormatting sqref="I10:Q19">
    <cfRule type="expression" dxfId="3" priority="1">
      <formula>ISBLANK($D10)</formula>
    </cfRule>
    <cfRule type="expression" dxfId="2" priority="2">
      <formula>IF(OR(I$20="None",I$20="Tada"),TRUE,FALSE)</formula>
    </cfRule>
    <cfRule type="expression" dxfId="1" priority="3">
      <formula>IF(OR(I$20="Tapered",I$20="Barrchaolaithe"),TRUE,FALSE)</formula>
    </cfRule>
    <cfRule type="expression" dxfId="0" priority="4">
      <formula>IF(OR(I$20="Full",I$20="Iomlán"),TRUE,FALSE)</formula>
    </cfRule>
  </conditionalFormatting>
  <pageMargins left="0.7" right="0.7" top="0.75" bottom="0.75" header="0.3" footer="0.3"/>
  <pageSetup paperSize="9" orientation="portrait" r:id="rId1"/>
  <ignoredErrors>
    <ignoredError sqref="N4:Q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Subsidy Calculator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Sample Subsidy Calculator V1</dc:title>
  <dc:creator/>
  <cp:lastModifiedBy/>
  <dcterms:created xsi:type="dcterms:W3CDTF">2020-04-19T18:01:34Z</dcterms:created>
  <dcterms:modified xsi:type="dcterms:W3CDTF">2020-04-30T21:38:32Z</dcterms:modified>
</cp:coreProperties>
</file>